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ylvi\Desktop\sylvinaNetlify\archivos\SCyP\costos\"/>
    </mc:Choice>
  </mc:AlternateContent>
  <xr:revisionPtr revIDLastSave="0" documentId="8_{0237B02A-955E-484A-93ED-4074E5502CE8}" xr6:coauthVersionLast="47" xr6:coauthVersionMax="47" xr10:uidLastSave="{00000000-0000-0000-0000-000000000000}"/>
  <bookViews>
    <workbookView xWindow="-103" yWindow="-103" windowWidth="19406" windowHeight="11486" xr2:uid="{00000000-000D-0000-FFFF-FFFF00000000}"/>
  </bookViews>
  <sheets>
    <sheet name="ba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1" l="1"/>
  <c r="M57" i="1"/>
  <c r="M56" i="1"/>
  <c r="M55" i="1"/>
  <c r="N42" i="1"/>
  <c r="N47" i="1"/>
  <c r="N46" i="1"/>
  <c r="N45" i="1"/>
  <c r="O17" i="1"/>
  <c r="N35" i="1"/>
  <c r="N34" i="1"/>
  <c r="N32" i="1"/>
  <c r="N31" i="1"/>
  <c r="N29" i="1"/>
  <c r="N28" i="1"/>
  <c r="N26" i="1"/>
  <c r="N24" i="1"/>
  <c r="B60" i="1"/>
  <c r="B64" i="1"/>
  <c r="B63" i="1"/>
  <c r="B62" i="1"/>
  <c r="B61" i="1"/>
  <c r="B36" i="1"/>
  <c r="B73" i="1" s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B58" i="1"/>
  <c r="A58" i="1"/>
  <c r="A57" i="1"/>
  <c r="A56" i="1"/>
  <c r="A55" i="1"/>
  <c r="A54" i="1"/>
  <c r="B53" i="1"/>
  <c r="A53" i="1"/>
  <c r="J33" i="1"/>
  <c r="H33" i="1"/>
  <c r="F33" i="1"/>
  <c r="D33" i="1"/>
  <c r="J32" i="1"/>
  <c r="H32" i="1"/>
  <c r="F32" i="1"/>
  <c r="D32" i="1"/>
  <c r="B47" i="1"/>
  <c r="B30" i="1" s="1"/>
  <c r="C48" i="1"/>
  <c r="B48" i="1" s="1"/>
  <c r="B31" i="1" s="1"/>
  <c r="C46" i="1"/>
  <c r="B46" i="1" s="1"/>
  <c r="B29" i="1" s="1"/>
  <c r="C45" i="1"/>
  <c r="J19" i="1"/>
  <c r="B28" i="1"/>
  <c r="B27" i="1"/>
  <c r="B66" i="1" s="1"/>
  <c r="B26" i="1"/>
  <c r="B65" i="1" s="1"/>
  <c r="N48" i="1"/>
  <c r="B23" i="1"/>
  <c r="G19" i="1"/>
  <c r="H19" i="1" s="1"/>
  <c r="B14" i="1"/>
  <c r="B13" i="1"/>
  <c r="R5" i="1"/>
  <c r="R4" i="1"/>
  <c r="R3" i="1"/>
  <c r="M18" i="1"/>
  <c r="M19" i="1" s="1"/>
  <c r="D19" i="1"/>
  <c r="R12" i="1"/>
  <c r="R11" i="1"/>
  <c r="R10" i="1"/>
  <c r="R9" i="1"/>
  <c r="R8" i="1"/>
  <c r="J25" i="1"/>
  <c r="H25" i="1"/>
  <c r="F25" i="1"/>
  <c r="D25" i="1"/>
  <c r="J24" i="1"/>
  <c r="H24" i="1"/>
  <c r="F24" i="1"/>
  <c r="D24" i="1"/>
  <c r="J22" i="1"/>
  <c r="H22" i="1"/>
  <c r="F22" i="1"/>
  <c r="D22" i="1"/>
  <c r="J21" i="1"/>
  <c r="H21" i="1"/>
  <c r="F21" i="1"/>
  <c r="D21" i="1"/>
  <c r="F19" i="1"/>
  <c r="J18" i="1"/>
  <c r="H18" i="1"/>
  <c r="F18" i="1"/>
  <c r="D18" i="1"/>
  <c r="S5" i="1"/>
  <c r="S4" i="1"/>
  <c r="R7" i="1"/>
  <c r="A52" i="1"/>
  <c r="R6" i="1"/>
  <c r="C44" i="1"/>
  <c r="C43" i="1"/>
  <c r="O18" i="1" l="1"/>
  <c r="O19" i="1" s="1"/>
  <c r="J28" i="1"/>
  <c r="B67" i="1"/>
  <c r="D30" i="1"/>
  <c r="F30" i="1"/>
  <c r="H30" i="1"/>
  <c r="J30" i="1"/>
  <c r="D31" i="1"/>
  <c r="F31" i="1"/>
  <c r="H31" i="1"/>
  <c r="J31" i="1"/>
  <c r="D29" i="1"/>
  <c r="F29" i="1"/>
  <c r="J29" i="1"/>
  <c r="H29" i="1"/>
  <c r="F27" i="1"/>
  <c r="J27" i="1"/>
  <c r="D27" i="1"/>
  <c r="J26" i="1"/>
  <c r="H28" i="1"/>
  <c r="F28" i="1"/>
  <c r="D28" i="1"/>
  <c r="H27" i="1"/>
  <c r="F14" i="1"/>
  <c r="D14" i="1"/>
  <c r="D13" i="1"/>
  <c r="B37" i="1"/>
  <c r="H20" i="1"/>
  <c r="J20" i="1"/>
  <c r="D20" i="1"/>
  <c r="F20" i="1"/>
  <c r="D26" i="1"/>
  <c r="H26" i="1"/>
  <c r="F26" i="1"/>
  <c r="H15" i="1"/>
  <c r="J15" i="1"/>
  <c r="F15" i="1"/>
  <c r="D15" i="1"/>
  <c r="F17" i="1"/>
  <c r="D17" i="1"/>
  <c r="J17" i="1"/>
  <c r="H17" i="1"/>
  <c r="F16" i="1"/>
  <c r="J16" i="1"/>
  <c r="H16" i="1"/>
  <c r="D16" i="1"/>
  <c r="J14" i="1"/>
  <c r="H14" i="1"/>
  <c r="R13" i="1"/>
  <c r="O20" i="1" l="1"/>
  <c r="N25" i="1" s="1"/>
  <c r="N27" i="1" s="1"/>
  <c r="N30" i="1" s="1"/>
  <c r="N33" i="1" s="1"/>
  <c r="N38" i="1" s="1"/>
  <c r="Q41" i="1" l="1"/>
  <c r="N43" i="1"/>
  <c r="N44" i="1" s="1"/>
  <c r="N51" i="1" s="1"/>
  <c r="E34" i="1" l="1"/>
  <c r="C34" i="1"/>
  <c r="G34" i="1"/>
  <c r="J34" i="1"/>
  <c r="B76" i="1" l="1"/>
</calcChain>
</file>

<file path=xl/sharedStrings.xml><?xml version="1.0" encoding="utf-8"?>
<sst xmlns="http://schemas.openxmlformats.org/spreadsheetml/2006/main" count="137" uniqueCount="119">
  <si>
    <t>SUELDOS</t>
  </si>
  <si>
    <t>ENUNCIADO</t>
  </si>
  <si>
    <t>Puesto</t>
  </si>
  <si>
    <t>Cantidad</t>
  </si>
  <si>
    <t>Sueldo</t>
  </si>
  <si>
    <t>Cs. Soc. (%)</t>
  </si>
  <si>
    <t>Total Anual</t>
  </si>
  <si>
    <t>I.I.</t>
  </si>
  <si>
    <t>M.P.</t>
  </si>
  <si>
    <t>Sup. Vendedores</t>
  </si>
  <si>
    <t>P.P.</t>
  </si>
  <si>
    <t>P.T</t>
  </si>
  <si>
    <t>Tot. Sueldos</t>
  </si>
  <si>
    <t>COMPRAS M.P.</t>
  </si>
  <si>
    <t>Ventas</t>
  </si>
  <si>
    <t>Total</t>
  </si>
  <si>
    <t>Concepto</t>
  </si>
  <si>
    <t>Importe</t>
  </si>
  <si>
    <t>Inv. Inic. M.P.</t>
  </si>
  <si>
    <t>Compras</t>
  </si>
  <si>
    <t>Inv. Final. M.P.</t>
  </si>
  <si>
    <t>M.P. Consumida</t>
  </si>
  <si>
    <t>M.O.D.</t>
  </si>
  <si>
    <t>C.I.F.</t>
  </si>
  <si>
    <t>Costo de Produc.</t>
  </si>
  <si>
    <t>Inv.Inic. P. en P.</t>
  </si>
  <si>
    <t>Inv. Final P. en P.</t>
  </si>
  <si>
    <t>Inv. Inic.P.Term.</t>
  </si>
  <si>
    <t>Inv.Final.P.Term.</t>
  </si>
  <si>
    <t>Costo de Prod. Term. Y Vend</t>
  </si>
  <si>
    <t>G.Admin.</t>
  </si>
  <si>
    <t>G.Comerc.</t>
  </si>
  <si>
    <t>G.Finan.</t>
  </si>
  <si>
    <t>C.P.T. y V.</t>
  </si>
  <si>
    <t>Resultado Bruto</t>
  </si>
  <si>
    <t>Gs. Financieros</t>
  </si>
  <si>
    <t>Otras utilidades</t>
  </si>
  <si>
    <t>Otros Gastos</t>
  </si>
  <si>
    <t>Resultado Ejercicio</t>
  </si>
  <si>
    <t>Totales</t>
  </si>
  <si>
    <t>Punto de equilibrio</t>
  </si>
  <si>
    <t>1° BIMEST</t>
  </si>
  <si>
    <t>2° BIMEST</t>
  </si>
  <si>
    <t>3° BIMEST</t>
  </si>
  <si>
    <t>4° BIMEST</t>
  </si>
  <si>
    <t>5° BIMEST</t>
  </si>
  <si>
    <t>6° BIMEST</t>
  </si>
  <si>
    <t>Amortizaciones</t>
  </si>
  <si>
    <t>Compra</t>
  </si>
  <si>
    <t>Gastos fijos</t>
  </si>
  <si>
    <t>TABLA DE DISTRIBUCIÓN</t>
  </si>
  <si>
    <t>ESTADO DE COSTOS</t>
  </si>
  <si>
    <t>ESTADO DE RESULTADOS</t>
  </si>
  <si>
    <t>Hs. Ex. REM</t>
  </si>
  <si>
    <t>Hs. Ex. NO Rem</t>
  </si>
  <si>
    <t>Operario 1</t>
  </si>
  <si>
    <t>Operario 2</t>
  </si>
  <si>
    <t>Operario 3</t>
  </si>
  <si>
    <t>Supervisor Producción</t>
  </si>
  <si>
    <t>Gte. Finanzas</t>
  </si>
  <si>
    <t>Gte. Administración</t>
  </si>
  <si>
    <t>Gte. Comercialización</t>
  </si>
  <si>
    <t>Gte. Producción</t>
  </si>
  <si>
    <t>%</t>
  </si>
  <si>
    <t>$</t>
  </si>
  <si>
    <t>Detalle</t>
  </si>
  <si>
    <t>I.F.</t>
  </si>
  <si>
    <t>operarios + supervisor Producción</t>
  </si>
  <si>
    <t>Costo Prod. Term.</t>
  </si>
  <si>
    <t>Gs. Comerciales</t>
  </si>
  <si>
    <t>Gs. Administrativos</t>
  </si>
  <si>
    <t>Sueldos Sup y Gtes.</t>
  </si>
  <si>
    <t>Sueldos</t>
  </si>
  <si>
    <t>Total COSTOS FIJOS</t>
  </si>
  <si>
    <t>puede ser un dato o que den Ventas y precio unitario</t>
  </si>
  <si>
    <t>PUNTO DE EQUILIBRIO:</t>
  </si>
  <si>
    <t>Limpieza</t>
  </si>
  <si>
    <t>Logística</t>
  </si>
  <si>
    <t>Impuestos</t>
  </si>
  <si>
    <t>Electricidad</t>
  </si>
  <si>
    <t>Seguridad</t>
  </si>
  <si>
    <t xml:space="preserve"> </t>
  </si>
  <si>
    <t>Un. Vendidas</t>
  </si>
  <si>
    <t>Costo Unitario</t>
  </si>
  <si>
    <r>
      <rPr>
        <b/>
        <sz val="11"/>
        <color theme="1"/>
        <rFont val="Calibri"/>
        <family val="2"/>
      </rPr>
      <t>Costo Unitario</t>
    </r>
    <r>
      <rPr>
        <sz val="11"/>
        <color theme="1"/>
        <rFont val="Calibri"/>
        <family val="2"/>
      </rPr>
      <t>: CPTyV / UnVendidas</t>
    </r>
  </si>
  <si>
    <t>Precio Unit.</t>
  </si>
  <si>
    <t>Q Equilibrio</t>
  </si>
  <si>
    <t>va como MOD</t>
  </si>
  <si>
    <t>Supervisor de Administ.</t>
  </si>
  <si>
    <t>Combustible</t>
  </si>
  <si>
    <t>Maquinarias</t>
  </si>
  <si>
    <t>escritorios administr.</t>
  </si>
  <si>
    <t>mostradores (ventas)</t>
  </si>
  <si>
    <t>Telefonitos</t>
  </si>
  <si>
    <t>Regalías Marca</t>
  </si>
  <si>
    <t>Agua corriente</t>
  </si>
  <si>
    <t>sylvina.netlify.app</t>
  </si>
  <si>
    <t>seguro</t>
  </si>
  <si>
    <t>amort. Maquinarias</t>
  </si>
  <si>
    <t>amort. Escr. Admin.</t>
  </si>
  <si>
    <t>amort. Mostr. Ventas</t>
  </si>
  <si>
    <t>bolsas</t>
  </si>
  <si>
    <t>alq. Equipos comp. Adm</t>
  </si>
  <si>
    <t>Lic. SW</t>
  </si>
  <si>
    <t>Dispenser agua</t>
  </si>
  <si>
    <t>sillas administrac.</t>
  </si>
  <si>
    <t>mobiliario admin.</t>
  </si>
  <si>
    <t>computadoras ventas</t>
  </si>
  <si>
    <t>amort. Sillas adm</t>
  </si>
  <si>
    <t>amort. Mob. Adm</t>
  </si>
  <si>
    <t>amort comp. Ventas</t>
  </si>
  <si>
    <t>mantenimiento maq.</t>
  </si>
  <si>
    <t>X</t>
  </si>
  <si>
    <t>gerentes y supervisores</t>
  </si>
  <si>
    <t>(no el de prod)</t>
  </si>
  <si>
    <t>20.b</t>
  </si>
  <si>
    <t>Costos Variable unitario</t>
  </si>
  <si>
    <t>gastos fijos / (Pv - Cv)</t>
  </si>
  <si>
    <t>Gastos Fijos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</si>
</sst>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44" formatCode="_-&quot;$&quot;\ * #,##0.00_-;\-&quot;$&quot;\ * #,##0.00_-;_-&quot;$&quot;\ * &quot;-&quot;??_-;_-@_-"/>
    <numFmt numFmtId="165" formatCode="_-&quot;$&quot;\ * #,##0.00_-;\-&quot;$&quot;\ * #,##0.00_-;_-&quot;$&quot;\ * &quot;-&quot;??_-;_-@"/>
    <numFmt numFmtId="166" formatCode="[$$]#,##0.00"/>
    <numFmt numFmtId="169" formatCode="&quot;$&quot;\ 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12">
    <xf numFmtId="0" fontId="0" fillId="0" borderId="0" xfId="0"/>
    <xf numFmtId="44" fontId="0" fillId="3" borderId="4" xfId="1" applyFont="1" applyFill="1" applyBorder="1" applyAlignment="1">
      <alignment horizontal="center"/>
    </xf>
    <xf numFmtId="44" fontId="1" fillId="3" borderId="5" xfId="1" applyFont="1" applyFill="1" applyBorder="1" applyAlignment="1">
      <alignment horizontal="center"/>
    </xf>
    <xf numFmtId="44" fontId="0" fillId="0" borderId="4" xfId="1" applyFont="1" applyBorder="1"/>
    <xf numFmtId="44" fontId="0" fillId="4" borderId="5" xfId="1" applyFont="1" applyFill="1" applyBorder="1"/>
    <xf numFmtId="44" fontId="0" fillId="6" borderId="10" xfId="1" applyFont="1" applyFill="1" applyBorder="1"/>
    <xf numFmtId="44" fontId="1" fillId="7" borderId="8" xfId="1" applyFont="1" applyFill="1" applyBorder="1"/>
    <xf numFmtId="44" fontId="0" fillId="0" borderId="5" xfId="1" applyFont="1" applyBorder="1"/>
    <xf numFmtId="44" fontId="1" fillId="0" borderId="4" xfId="0" applyNumberFormat="1" applyFont="1" applyBorder="1"/>
    <xf numFmtId="44" fontId="0" fillId="6" borderId="4" xfId="1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44" fontId="0" fillId="6" borderId="10" xfId="1" applyFont="1" applyFill="1" applyBorder="1" applyAlignment="1">
      <alignment horizontal="center"/>
    </xf>
    <xf numFmtId="44" fontId="1" fillId="6" borderId="17" xfId="1" applyFont="1" applyFill="1" applyBorder="1" applyAlignment="1">
      <alignment horizontal="center"/>
    </xf>
    <xf numFmtId="44" fontId="0" fillId="6" borderId="14" xfId="1" applyFont="1" applyFill="1" applyBorder="1" applyAlignment="1">
      <alignment horizontal="center"/>
    </xf>
    <xf numFmtId="44" fontId="0" fillId="6" borderId="7" xfId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9" fontId="0" fillId="3" borderId="4" xfId="0" applyNumberFormat="1" applyFill="1" applyBorder="1" applyAlignment="1">
      <alignment horizontal="center"/>
    </xf>
    <xf numFmtId="0" fontId="0" fillId="6" borderId="9" xfId="0" applyFill="1" applyBorder="1"/>
    <xf numFmtId="0" fontId="0" fillId="6" borderId="14" xfId="0" applyFill="1" applyBorder="1"/>
    <xf numFmtId="0" fontId="0" fillId="0" borderId="3" xfId="0" applyBorder="1" applyAlignment="1">
      <alignment horizontal="right"/>
    </xf>
    <xf numFmtId="0" fontId="0" fillId="6" borderId="3" xfId="0" applyFill="1" applyBorder="1"/>
    <xf numFmtId="0" fontId="0" fillId="6" borderId="4" xfId="0" applyFill="1" applyBorder="1"/>
    <xf numFmtId="0" fontId="0" fillId="6" borderId="6" xfId="0" applyFill="1" applyBorder="1"/>
    <xf numFmtId="0" fontId="0" fillId="6" borderId="7" xfId="0" applyFill="1" applyBorder="1"/>
    <xf numFmtId="0" fontId="0" fillId="0" borderId="4" xfId="0" applyBorder="1"/>
    <xf numFmtId="0" fontId="1" fillId="0" borderId="24" xfId="0" applyFont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3" borderId="18" xfId="0" applyFont="1" applyFill="1" applyBorder="1"/>
    <xf numFmtId="0" fontId="1" fillId="3" borderId="27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0" fillId="3" borderId="3" xfId="0" applyFill="1" applyBorder="1"/>
    <xf numFmtId="0" fontId="0" fillId="3" borderId="3" xfId="0" applyFill="1" applyBorder="1" applyAlignment="1">
      <alignment wrapText="1"/>
    </xf>
    <xf numFmtId="0" fontId="0" fillId="0" borderId="4" xfId="0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0" borderId="0" xfId="0" applyFont="1" applyAlignment="1">
      <alignment horizontal="center"/>
    </xf>
    <xf numFmtId="44" fontId="0" fillId="0" borderId="28" xfId="1" applyFont="1" applyBorder="1" applyAlignment="1">
      <alignment horizontal="center"/>
    </xf>
    <xf numFmtId="44" fontId="0" fillId="0" borderId="18" xfId="1" applyFont="1" applyBorder="1" applyAlignment="1">
      <alignment horizontal="center"/>
    </xf>
    <xf numFmtId="44" fontId="0" fillId="0" borderId="3" xfId="1" applyFont="1" applyBorder="1"/>
    <xf numFmtId="44" fontId="1" fillId="0" borderId="41" xfId="1" applyFont="1" applyBorder="1" applyAlignment="1">
      <alignment horizontal="center"/>
    </xf>
    <xf numFmtId="44" fontId="0" fillId="0" borderId="21" xfId="1" applyFont="1" applyBorder="1"/>
    <xf numFmtId="44" fontId="1" fillId="0" borderId="8" xfId="1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1" fillId="0" borderId="26" xfId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0" fontId="1" fillId="2" borderId="46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44" fontId="1" fillId="2" borderId="23" xfId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4" fontId="0" fillId="6" borderId="22" xfId="1" applyFont="1" applyFill="1" applyBorder="1" applyAlignment="1">
      <alignment vertical="center"/>
    </xf>
    <xf numFmtId="44" fontId="1" fillId="6" borderId="37" xfId="1" applyFont="1" applyFill="1" applyBorder="1" applyAlignment="1">
      <alignment vertical="center"/>
    </xf>
    <xf numFmtId="44" fontId="0" fillId="3" borderId="19" xfId="1" applyFont="1" applyFill="1" applyBorder="1" applyAlignment="1">
      <alignment vertical="center"/>
    </xf>
    <xf numFmtId="44" fontId="0" fillId="3" borderId="33" xfId="1" applyFont="1" applyFill="1" applyBorder="1" applyAlignment="1">
      <alignment vertical="center"/>
    </xf>
    <xf numFmtId="44" fontId="1" fillId="3" borderId="37" xfId="1" applyFont="1" applyFill="1" applyBorder="1" applyAlignment="1">
      <alignment vertical="center"/>
    </xf>
    <xf numFmtId="44" fontId="1" fillId="5" borderId="37" xfId="1" applyFont="1" applyFill="1" applyBorder="1" applyAlignment="1">
      <alignment vertical="center"/>
    </xf>
    <xf numFmtId="44" fontId="0" fillId="2" borderId="33" xfId="1" applyFont="1" applyFill="1" applyBorder="1" applyAlignment="1">
      <alignment vertical="center"/>
    </xf>
    <xf numFmtId="0" fontId="0" fillId="0" borderId="0" xfId="0" applyAlignment="1">
      <alignment vertical="center"/>
    </xf>
    <xf numFmtId="44" fontId="0" fillId="6" borderId="44" xfId="1" applyFont="1" applyFill="1" applyBorder="1"/>
    <xf numFmtId="44" fontId="0" fillId="4" borderId="28" xfId="1" applyFont="1" applyFill="1" applyBorder="1"/>
    <xf numFmtId="44" fontId="1" fillId="6" borderId="37" xfId="1" applyFont="1" applyFill="1" applyBorder="1"/>
    <xf numFmtId="0" fontId="4" fillId="0" borderId="11" xfId="0" applyFont="1" applyBorder="1" applyAlignment="1">
      <alignment horizontal="center" vertical="center"/>
    </xf>
    <xf numFmtId="44" fontId="4" fillId="0" borderId="37" xfId="0" applyNumberFormat="1" applyFont="1" applyBorder="1" applyAlignment="1">
      <alignment horizontal="center" vertical="center"/>
    </xf>
    <xf numFmtId="0" fontId="9" fillId="0" borderId="0" xfId="0" applyFont="1"/>
    <xf numFmtId="0" fontId="7" fillId="0" borderId="53" xfId="0" applyFont="1" applyBorder="1" applyAlignment="1">
      <alignment horizontal="center" vertical="center"/>
    </xf>
    <xf numFmtId="1" fontId="9" fillId="0" borderId="53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53" xfId="0" applyFont="1" applyBorder="1" applyAlignment="1">
      <alignment horizontal="center"/>
    </xf>
    <xf numFmtId="166" fontId="9" fillId="0" borderId="53" xfId="0" applyNumberFormat="1" applyFont="1" applyBorder="1" applyAlignment="1">
      <alignment horizontal="center"/>
    </xf>
    <xf numFmtId="166" fontId="7" fillId="0" borderId="53" xfId="0" applyNumberFormat="1" applyFont="1" applyBorder="1" applyAlignment="1">
      <alignment horizontal="center"/>
    </xf>
    <xf numFmtId="0" fontId="8" fillId="0" borderId="59" xfId="0" applyFont="1" applyBorder="1" applyAlignment="1">
      <alignment vertical="center"/>
    </xf>
    <xf numFmtId="165" fontId="6" fillId="0" borderId="60" xfId="0" applyNumberFormat="1" applyFont="1" applyBorder="1" applyAlignment="1">
      <alignment vertical="center"/>
    </xf>
    <xf numFmtId="0" fontId="6" fillId="0" borderId="61" xfId="0" applyFont="1" applyBorder="1" applyAlignment="1">
      <alignment vertical="center"/>
    </xf>
    <xf numFmtId="0" fontId="8" fillId="0" borderId="62" xfId="0" applyFont="1" applyBorder="1" applyAlignment="1">
      <alignment vertical="center"/>
    </xf>
    <xf numFmtId="166" fontId="6" fillId="0" borderId="53" xfId="0" applyNumberFormat="1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8" fillId="0" borderId="63" xfId="0" applyFont="1" applyBorder="1" applyAlignment="1">
      <alignment vertical="center"/>
    </xf>
    <xf numFmtId="0" fontId="8" fillId="0" borderId="5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8" fillId="0" borderId="56" xfId="0" applyFont="1" applyBorder="1" applyAlignment="1">
      <alignment horizontal="center" vertical="center"/>
    </xf>
    <xf numFmtId="0" fontId="10" fillId="0" borderId="57" xfId="0" applyFont="1" applyBorder="1"/>
    <xf numFmtId="0" fontId="10" fillId="0" borderId="58" xfId="0" applyFont="1" applyBorder="1"/>
    <xf numFmtId="0" fontId="1" fillId="7" borderId="25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42" xfId="0" applyFill="1" applyBorder="1" applyAlignment="1">
      <alignment horizontal="center" vertical="center"/>
    </xf>
    <xf numFmtId="0" fontId="0" fillId="6" borderId="45" xfId="0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6" borderId="42" xfId="0" applyFill="1" applyBorder="1" applyAlignment="1">
      <alignment horizontal="center"/>
    </xf>
    <xf numFmtId="0" fontId="0" fillId="6" borderId="49" xfId="0" applyFill="1" applyBorder="1" applyAlignment="1">
      <alignment horizont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44" fontId="1" fillId="0" borderId="11" xfId="1" applyFont="1" applyBorder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3" borderId="43" xfId="0" applyFill="1" applyBorder="1"/>
    <xf numFmtId="0" fontId="0" fillId="3" borderId="52" xfId="0" applyFill="1" applyBorder="1" applyAlignment="1">
      <alignment horizontal="center"/>
    </xf>
    <xf numFmtId="44" fontId="0" fillId="3" borderId="52" xfId="1" applyFont="1" applyFill="1" applyBorder="1" applyAlignment="1">
      <alignment horizontal="center"/>
    </xf>
    <xf numFmtId="9" fontId="0" fillId="3" borderId="52" xfId="0" applyNumberFormat="1" applyFill="1" applyBorder="1" applyAlignment="1">
      <alignment horizontal="center"/>
    </xf>
    <xf numFmtId="44" fontId="1" fillId="3" borderId="44" xfId="1" applyFont="1" applyFill="1" applyBorder="1" applyAlignment="1">
      <alignment horizontal="center"/>
    </xf>
    <xf numFmtId="0" fontId="1" fillId="3" borderId="15" xfId="0" applyFont="1" applyFill="1" applyBorder="1"/>
    <xf numFmtId="0" fontId="0" fillId="3" borderId="16" xfId="0" applyFill="1" applyBorder="1" applyAlignment="1">
      <alignment horizontal="center"/>
    </xf>
    <xf numFmtId="44" fontId="0" fillId="3" borderId="16" xfId="1" applyFont="1" applyFill="1" applyBorder="1" applyAlignment="1">
      <alignment horizontal="center"/>
    </xf>
    <xf numFmtId="44" fontId="1" fillId="3" borderId="17" xfId="1" applyFont="1" applyFill="1" applyBorder="1" applyAlignment="1">
      <alignment horizontal="center"/>
    </xf>
    <xf numFmtId="44" fontId="0" fillId="0" borderId="0" xfId="0" applyNumberFormat="1"/>
    <xf numFmtId="0" fontId="0" fillId="0" borderId="40" xfId="0" applyBorder="1" applyAlignment="1">
      <alignment horizontal="left"/>
    </xf>
    <xf numFmtId="0" fontId="0" fillId="0" borderId="20" xfId="0" applyBorder="1" applyAlignment="1">
      <alignment horizontal="left"/>
    </xf>
    <xf numFmtId="6" fontId="0" fillId="0" borderId="40" xfId="0" applyNumberFormat="1" applyBorder="1" applyAlignment="1">
      <alignment horizontal="right"/>
    </xf>
    <xf numFmtId="6" fontId="0" fillId="0" borderId="20" xfId="0" applyNumberFormat="1" applyBorder="1" applyAlignment="1">
      <alignment horizontal="right"/>
    </xf>
    <xf numFmtId="9" fontId="0" fillId="0" borderId="18" xfId="0" applyNumberFormat="1" applyBorder="1" applyAlignment="1">
      <alignment horizontal="right"/>
    </xf>
    <xf numFmtId="9" fontId="0" fillId="0" borderId="3" xfId="0" applyNumberFormat="1" applyBorder="1" applyAlignment="1">
      <alignment horizontal="right"/>
    </xf>
    <xf numFmtId="9" fontId="0" fillId="0" borderId="3" xfId="1" applyNumberFormat="1" applyFont="1" applyBorder="1"/>
    <xf numFmtId="6" fontId="5" fillId="0" borderId="20" xfId="0" applyNumberFormat="1" applyFont="1" applyBorder="1" applyAlignment="1">
      <alignment horizontal="right"/>
    </xf>
    <xf numFmtId="44" fontId="5" fillId="0" borderId="5" xfId="1" applyFont="1" applyBorder="1"/>
    <xf numFmtId="44" fontId="5" fillId="0" borderId="3" xfId="1" applyFont="1" applyBorder="1"/>
    <xf numFmtId="44" fontId="5" fillId="0" borderId="21" xfId="1" applyFont="1" applyBorder="1"/>
    <xf numFmtId="6" fontId="5" fillId="0" borderId="42" xfId="0" applyNumberFormat="1" applyFont="1" applyBorder="1" applyAlignment="1">
      <alignment horizontal="right"/>
    </xf>
    <xf numFmtId="0" fontId="5" fillId="0" borderId="43" xfId="0" applyFont="1" applyBorder="1" applyAlignment="1">
      <alignment horizontal="right"/>
    </xf>
    <xf numFmtId="0" fontId="5" fillId="0" borderId="20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9" fontId="5" fillId="0" borderId="3" xfId="0" applyNumberFormat="1" applyFont="1" applyBorder="1" applyAlignment="1">
      <alignment horizontal="right"/>
    </xf>
    <xf numFmtId="9" fontId="5" fillId="0" borderId="3" xfId="1" applyNumberFormat="1" applyFont="1" applyBorder="1"/>
    <xf numFmtId="0" fontId="0" fillId="0" borderId="6" xfId="0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169" fontId="0" fillId="2" borderId="38" xfId="0" applyNumberFormat="1" applyFill="1" applyBorder="1" applyAlignment="1">
      <alignment horizontal="center"/>
    </xf>
    <xf numFmtId="169" fontId="0" fillId="2" borderId="47" xfId="0" applyNumberFormat="1" applyFill="1" applyBorder="1" applyAlignment="1">
      <alignment horizontal="center"/>
    </xf>
    <xf numFmtId="169" fontId="0" fillId="2" borderId="41" xfId="0" applyNumberFormat="1" applyFill="1" applyBorder="1" applyAlignment="1">
      <alignment horizontal="center"/>
    </xf>
    <xf numFmtId="169" fontId="0" fillId="2" borderId="30" xfId="0" applyNumberFormat="1" applyFill="1" applyBorder="1" applyAlignment="1">
      <alignment horizontal="center"/>
    </xf>
    <xf numFmtId="169" fontId="0" fillId="2" borderId="35" xfId="0" applyNumberFormat="1" applyFill="1" applyBorder="1" applyAlignment="1">
      <alignment horizontal="center"/>
    </xf>
    <xf numFmtId="169" fontId="0" fillId="2" borderId="21" xfId="0" applyNumberFormat="1" applyFill="1" applyBorder="1" applyAlignment="1">
      <alignment horizontal="center"/>
    </xf>
    <xf numFmtId="169" fontId="0" fillId="2" borderId="32" xfId="0" applyNumberFormat="1" applyFill="1" applyBorder="1" applyAlignment="1">
      <alignment horizontal="center"/>
    </xf>
    <xf numFmtId="169" fontId="0" fillId="2" borderId="36" xfId="0" applyNumberFormat="1" applyFill="1" applyBorder="1" applyAlignment="1">
      <alignment horizontal="center"/>
    </xf>
    <xf numFmtId="169" fontId="0" fillId="2" borderId="26" xfId="0" applyNumberFormat="1" applyFill="1" applyBorder="1" applyAlignment="1">
      <alignment horizontal="center"/>
    </xf>
    <xf numFmtId="9" fontId="5" fillId="0" borderId="43" xfId="0" applyNumberFormat="1" applyFont="1" applyBorder="1" applyAlignment="1">
      <alignment horizontal="right"/>
    </xf>
    <xf numFmtId="169" fontId="0" fillId="6" borderId="19" xfId="1" applyNumberFormat="1" applyFont="1" applyFill="1" applyBorder="1" applyAlignment="1">
      <alignment vertical="center"/>
    </xf>
    <xf numFmtId="169" fontId="0" fillId="6" borderId="33" xfId="1" applyNumberFormat="1" applyFont="1" applyFill="1" applyBorder="1" applyAlignment="1">
      <alignment vertical="center"/>
    </xf>
    <xf numFmtId="169" fontId="0" fillId="5" borderId="19" xfId="1" applyNumberFormat="1" applyFont="1" applyFill="1" applyBorder="1" applyAlignment="1">
      <alignment vertical="center"/>
    </xf>
    <xf numFmtId="169" fontId="0" fillId="5" borderId="33" xfId="1" applyNumberFormat="1" applyFont="1" applyFill="1" applyBorder="1" applyAlignment="1">
      <alignment vertical="center"/>
    </xf>
    <xf numFmtId="169" fontId="0" fillId="2" borderId="19" xfId="1" applyNumberFormat="1" applyFont="1" applyFill="1" applyBorder="1" applyAlignment="1">
      <alignment vertical="center"/>
    </xf>
    <xf numFmtId="169" fontId="0" fillId="2" borderId="22" xfId="1" applyNumberFormat="1" applyFont="1" applyFill="1" applyBorder="1" applyAlignment="1">
      <alignment vertical="center"/>
    </xf>
    <xf numFmtId="0" fontId="0" fillId="5" borderId="3" xfId="0" applyFill="1" applyBorder="1" applyAlignment="1">
      <alignment horizontal="right"/>
    </xf>
    <xf numFmtId="6" fontId="0" fillId="5" borderId="20" xfId="0" applyNumberFormat="1" applyFill="1" applyBorder="1" applyAlignment="1">
      <alignment horizontal="right"/>
    </xf>
    <xf numFmtId="44" fontId="0" fillId="5" borderId="20" xfId="1" applyFont="1" applyFill="1" applyBorder="1" applyAlignment="1">
      <alignment horizontal="center"/>
    </xf>
    <xf numFmtId="44" fontId="0" fillId="5" borderId="21" xfId="1" applyFont="1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6" fontId="0" fillId="0" borderId="20" xfId="0" applyNumberFormat="1" applyFill="1" applyBorder="1" applyAlignment="1">
      <alignment horizontal="right"/>
    </xf>
    <xf numFmtId="44" fontId="0" fillId="0" borderId="20" xfId="1" applyFont="1" applyFill="1" applyBorder="1" applyAlignment="1">
      <alignment horizontal="center"/>
    </xf>
    <xf numFmtId="44" fontId="0" fillId="0" borderId="21" xfId="1" applyFont="1" applyFill="1" applyBorder="1" applyAlignment="1">
      <alignment horizontal="center"/>
    </xf>
    <xf numFmtId="0" fontId="0" fillId="0" borderId="6" xfId="0" applyFill="1" applyBorder="1" applyAlignment="1">
      <alignment horizontal="right"/>
    </xf>
    <xf numFmtId="44" fontId="0" fillId="0" borderId="25" xfId="1" applyFont="1" applyFill="1" applyBorder="1" applyAlignment="1">
      <alignment horizontal="center"/>
    </xf>
    <xf numFmtId="44" fontId="0" fillId="0" borderId="26" xfId="1" applyFont="1" applyFill="1" applyBorder="1" applyAlignment="1">
      <alignment horizontal="center"/>
    </xf>
    <xf numFmtId="0" fontId="0" fillId="5" borderId="18" xfId="0" applyFill="1" applyBorder="1" applyAlignment="1">
      <alignment horizontal="right"/>
    </xf>
    <xf numFmtId="44" fontId="0" fillId="5" borderId="18" xfId="1" applyFont="1" applyFill="1" applyBorder="1" applyAlignment="1">
      <alignment horizontal="center"/>
    </xf>
    <xf numFmtId="44" fontId="0" fillId="5" borderId="28" xfId="1" applyFont="1" applyFill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3" fontId="6" fillId="0" borderId="64" xfId="0" applyNumberFormat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6"/>
  <sheetViews>
    <sheetView tabSelected="1" zoomScale="95" zoomScaleNormal="145" workbookViewId="0">
      <selection activeCell="M54" sqref="M54"/>
    </sheetView>
  </sheetViews>
  <sheetFormatPr baseColWidth="10" defaultRowHeight="16.5" customHeight="1" x14ac:dyDescent="0.4"/>
  <cols>
    <col min="1" max="1" width="18.84375" customWidth="1"/>
    <col min="2" max="2" width="17.4609375" customWidth="1"/>
    <col min="3" max="3" width="6.53515625" customWidth="1"/>
    <col min="4" max="4" width="12.23046875" customWidth="1"/>
    <col min="5" max="5" width="6.3828125" customWidth="1"/>
    <col min="6" max="6" width="12.61328125" customWidth="1"/>
    <col min="7" max="7" width="5.61328125" customWidth="1"/>
    <col min="8" max="8" width="12.23046875" bestFit="1" customWidth="1"/>
    <col min="9" max="9" width="5.61328125" customWidth="1"/>
    <col min="10" max="10" width="14.84375" customWidth="1"/>
    <col min="12" max="12" width="21.61328125" customWidth="1"/>
    <col min="13" max="13" width="12" customWidth="1"/>
    <col min="14" max="14" width="15.4609375" customWidth="1"/>
    <col min="15" max="15" width="12.61328125" customWidth="1"/>
    <col min="16" max="16" width="13.15234375" customWidth="1"/>
    <col min="17" max="17" width="11.15234375" bestFit="1" customWidth="1"/>
    <col min="18" max="19" width="15" bestFit="1" customWidth="1"/>
  </cols>
  <sheetData>
    <row r="1" spans="1:19" ht="16.5" customHeight="1" thickBot="1" x14ac:dyDescent="0.5">
      <c r="A1" t="s">
        <v>96</v>
      </c>
      <c r="L1" s="124" t="s">
        <v>0</v>
      </c>
      <c r="M1" s="125"/>
      <c r="N1" s="125"/>
      <c r="O1" s="125"/>
      <c r="P1" s="125"/>
      <c r="Q1" s="125"/>
      <c r="R1" s="126"/>
    </row>
    <row r="2" spans="1:19" ht="16.5" customHeight="1" thickBot="1" x14ac:dyDescent="0.45">
      <c r="L2" s="31" t="s">
        <v>2</v>
      </c>
      <c r="M2" s="32" t="s">
        <v>3</v>
      </c>
      <c r="N2" s="32" t="s">
        <v>4</v>
      </c>
      <c r="O2" s="32" t="s">
        <v>53</v>
      </c>
      <c r="P2" s="32" t="s">
        <v>54</v>
      </c>
      <c r="Q2" s="32" t="s">
        <v>5</v>
      </c>
      <c r="R2" s="33" t="s">
        <v>6</v>
      </c>
    </row>
    <row r="3" spans="1:19" ht="16.5" customHeight="1" thickBot="1" x14ac:dyDescent="0.5">
      <c r="A3" s="85" t="s">
        <v>1</v>
      </c>
      <c r="B3" s="86"/>
      <c r="C3" s="86"/>
      <c r="D3" s="87"/>
      <c r="L3" s="34" t="s">
        <v>55</v>
      </c>
      <c r="M3" s="15">
        <v>10</v>
      </c>
      <c r="N3" s="1">
        <v>550</v>
      </c>
      <c r="O3" s="1">
        <v>275</v>
      </c>
      <c r="P3" s="1"/>
      <c r="Q3" s="16">
        <v>0.15</v>
      </c>
      <c r="R3" s="2">
        <f>+M3*(N3+O3)*(1+Q3)*13</f>
        <v>123337.5</v>
      </c>
    </row>
    <row r="4" spans="1:19" ht="16.5" customHeight="1" thickBot="1" x14ac:dyDescent="0.45">
      <c r="A4" s="54"/>
      <c r="B4" s="53" t="s">
        <v>7</v>
      </c>
      <c r="C4" s="139" t="s">
        <v>66</v>
      </c>
      <c r="D4" s="140"/>
      <c r="L4" s="35" t="s">
        <v>56</v>
      </c>
      <c r="M4" s="15">
        <v>5</v>
      </c>
      <c r="N4" s="1">
        <v>600</v>
      </c>
      <c r="O4" s="1"/>
      <c r="P4" s="1">
        <v>275</v>
      </c>
      <c r="Q4" s="16">
        <v>0.15</v>
      </c>
      <c r="R4" s="2">
        <f>+M4*(N4*(1+Q4)*13+P4*12)</f>
        <v>61350</v>
      </c>
      <c r="S4" s="158">
        <f>+M4*((N4+P4)*(1+Q4)*12+N4)</f>
        <v>63374.999999999993</v>
      </c>
    </row>
    <row r="5" spans="1:19" ht="16.5" customHeight="1" x14ac:dyDescent="0.4">
      <c r="A5" s="50" t="s">
        <v>8</v>
      </c>
      <c r="B5" s="178">
        <v>5000</v>
      </c>
      <c r="C5" s="179">
        <v>4000</v>
      </c>
      <c r="D5" s="180"/>
      <c r="L5" s="35" t="s">
        <v>57</v>
      </c>
      <c r="M5" s="15">
        <v>5</v>
      </c>
      <c r="N5" s="1">
        <v>650</v>
      </c>
      <c r="O5" s="1"/>
      <c r="P5" s="1">
        <v>275</v>
      </c>
      <c r="Q5" s="16">
        <v>0.15</v>
      </c>
      <c r="R5" s="2">
        <f>+M5*(N5*(1+Q5)*13+P5*12)</f>
        <v>65087.499999999993</v>
      </c>
      <c r="S5" s="158">
        <f>+M5*((N5+P5)*(1+Q5)*12+N5)</f>
        <v>67075</v>
      </c>
    </row>
    <row r="6" spans="1:19" ht="16.5" customHeight="1" x14ac:dyDescent="0.4">
      <c r="A6" s="51" t="s">
        <v>10</v>
      </c>
      <c r="B6" s="181">
        <v>2000</v>
      </c>
      <c r="C6" s="182">
        <v>2000</v>
      </c>
      <c r="D6" s="183"/>
      <c r="L6" s="35" t="s">
        <v>58</v>
      </c>
      <c r="M6" s="15">
        <v>1</v>
      </c>
      <c r="N6" s="1">
        <v>1000</v>
      </c>
      <c r="O6" s="1"/>
      <c r="P6" s="1"/>
      <c r="Q6" s="16">
        <v>0.2</v>
      </c>
      <c r="R6" s="2">
        <f t="shared" ref="R6:R12" si="0">+M6*N6*(1+Q6)*13</f>
        <v>15600</v>
      </c>
      <c r="S6" t="s">
        <v>87</v>
      </c>
    </row>
    <row r="7" spans="1:19" ht="16.5" customHeight="1" thickBot="1" x14ac:dyDescent="0.45">
      <c r="A7" s="52" t="s">
        <v>11</v>
      </c>
      <c r="B7" s="184">
        <v>3000</v>
      </c>
      <c r="C7" s="185">
        <v>5000</v>
      </c>
      <c r="D7" s="186"/>
      <c r="L7" s="35" t="s">
        <v>62</v>
      </c>
      <c r="M7" s="15">
        <v>1</v>
      </c>
      <c r="N7" s="1">
        <v>1500</v>
      </c>
      <c r="O7" s="1"/>
      <c r="P7" s="1"/>
      <c r="Q7" s="16">
        <v>0.25</v>
      </c>
      <c r="R7" s="2">
        <f t="shared" si="0"/>
        <v>24375</v>
      </c>
    </row>
    <row r="8" spans="1:19" ht="16.5" customHeight="1" x14ac:dyDescent="0.4">
      <c r="L8" s="34" t="s">
        <v>9</v>
      </c>
      <c r="M8" s="15">
        <v>1</v>
      </c>
      <c r="N8" s="1">
        <v>1200</v>
      </c>
      <c r="O8" s="1"/>
      <c r="P8" s="1"/>
      <c r="Q8" s="16">
        <v>0.2</v>
      </c>
      <c r="R8" s="2">
        <f t="shared" si="0"/>
        <v>18720</v>
      </c>
    </row>
    <row r="9" spans="1:19" ht="16.5" customHeight="1" thickBot="1" x14ac:dyDescent="0.45">
      <c r="L9" s="34" t="s">
        <v>59</v>
      </c>
      <c r="M9" s="15">
        <v>1</v>
      </c>
      <c r="N9" s="1">
        <v>1600</v>
      </c>
      <c r="O9" s="1"/>
      <c r="P9" s="1"/>
      <c r="Q9" s="16">
        <v>0.25</v>
      </c>
      <c r="R9" s="2">
        <f t="shared" si="0"/>
        <v>26000</v>
      </c>
    </row>
    <row r="10" spans="1:19" ht="16.5" customHeight="1" thickBot="1" x14ac:dyDescent="0.45">
      <c r="A10" s="97" t="s">
        <v>50</v>
      </c>
      <c r="B10" s="98"/>
      <c r="C10" s="98"/>
      <c r="D10" s="98"/>
      <c r="E10" s="98"/>
      <c r="F10" s="98"/>
      <c r="G10" s="98"/>
      <c r="H10" s="98"/>
      <c r="I10" s="98"/>
      <c r="J10" s="99"/>
      <c r="L10" s="34" t="s">
        <v>60</v>
      </c>
      <c r="M10" s="15">
        <v>1</v>
      </c>
      <c r="N10" s="1">
        <v>1000</v>
      </c>
      <c r="O10" s="1"/>
      <c r="P10" s="1"/>
      <c r="Q10" s="16">
        <v>0.25</v>
      </c>
      <c r="R10" s="2">
        <f t="shared" si="0"/>
        <v>16250</v>
      </c>
    </row>
    <row r="11" spans="1:19" ht="16.5" customHeight="1" x14ac:dyDescent="0.4">
      <c r="A11" s="114" t="s">
        <v>16</v>
      </c>
      <c r="B11" s="115"/>
      <c r="C11" s="114" t="s">
        <v>23</v>
      </c>
      <c r="D11" s="115"/>
      <c r="E11" s="114" t="s">
        <v>30</v>
      </c>
      <c r="F11" s="115"/>
      <c r="G11" s="114" t="s">
        <v>31</v>
      </c>
      <c r="H11" s="115"/>
      <c r="I11" s="114" t="s">
        <v>32</v>
      </c>
      <c r="J11" s="115"/>
      <c r="L11" s="34" t="s">
        <v>61</v>
      </c>
      <c r="M11" s="15">
        <v>1</v>
      </c>
      <c r="N11" s="1">
        <v>1800</v>
      </c>
      <c r="O11" s="1"/>
      <c r="P11" s="1"/>
      <c r="Q11" s="16">
        <v>0.25</v>
      </c>
      <c r="R11" s="2">
        <f t="shared" si="0"/>
        <v>29250</v>
      </c>
    </row>
    <row r="12" spans="1:19" ht="16.5" customHeight="1" thickBot="1" x14ac:dyDescent="0.45">
      <c r="A12" s="47" t="s">
        <v>65</v>
      </c>
      <c r="B12" s="47" t="s">
        <v>64</v>
      </c>
      <c r="C12" s="148" t="s">
        <v>63</v>
      </c>
      <c r="D12" s="44" t="s">
        <v>64</v>
      </c>
      <c r="E12" s="45" t="s">
        <v>63</v>
      </c>
      <c r="F12" s="44" t="s">
        <v>64</v>
      </c>
      <c r="G12" s="45" t="s">
        <v>63</v>
      </c>
      <c r="H12" s="44" t="s">
        <v>64</v>
      </c>
      <c r="I12" s="45" t="s">
        <v>63</v>
      </c>
      <c r="J12" s="46" t="s">
        <v>64</v>
      </c>
      <c r="L12" s="149" t="s">
        <v>88</v>
      </c>
      <c r="M12" s="150">
        <v>1</v>
      </c>
      <c r="N12" s="151">
        <v>1000</v>
      </c>
      <c r="O12" s="151"/>
      <c r="P12" s="151"/>
      <c r="Q12" s="152">
        <v>0.2</v>
      </c>
      <c r="R12" s="153">
        <f t="shared" si="0"/>
        <v>15600</v>
      </c>
    </row>
    <row r="13" spans="1:19" ht="16.5" customHeight="1" thickBot="1" x14ac:dyDescent="0.45">
      <c r="A13" s="159" t="s">
        <v>89</v>
      </c>
      <c r="B13" s="161">
        <f>3000*2</f>
        <v>6000</v>
      </c>
      <c r="C13" s="163">
        <v>1</v>
      </c>
      <c r="D13" s="39">
        <f>+B13*C13</f>
        <v>6000</v>
      </c>
      <c r="E13" s="40"/>
      <c r="F13" s="39"/>
      <c r="G13" s="40"/>
      <c r="H13" s="39"/>
      <c r="I13" s="40"/>
      <c r="J13" s="42"/>
      <c r="L13" s="154" t="s">
        <v>12</v>
      </c>
      <c r="M13" s="155"/>
      <c r="N13" s="156"/>
      <c r="O13" s="156"/>
      <c r="P13" s="156"/>
      <c r="Q13" s="155"/>
      <c r="R13" s="157">
        <f>SUM(R3:R12)</f>
        <v>395570</v>
      </c>
    </row>
    <row r="14" spans="1:19" ht="16.5" customHeight="1" x14ac:dyDescent="0.4">
      <c r="A14" s="160" t="s">
        <v>97</v>
      </c>
      <c r="B14" s="162">
        <f>6*500</f>
        <v>3000</v>
      </c>
      <c r="C14" s="164">
        <v>0.5</v>
      </c>
      <c r="D14" s="7">
        <f>+$B14*C14</f>
        <v>1500</v>
      </c>
      <c r="E14" s="165">
        <v>0.3</v>
      </c>
      <c r="F14" s="7">
        <f>+$B14*E14</f>
        <v>900</v>
      </c>
      <c r="G14" s="165">
        <v>0.2</v>
      </c>
      <c r="H14" s="7">
        <f>+$B14*G14</f>
        <v>600</v>
      </c>
      <c r="I14" s="41"/>
      <c r="J14" s="7">
        <f>+$B14*I14</f>
        <v>0</v>
      </c>
    </row>
    <row r="15" spans="1:19" ht="16.5" customHeight="1" thickBot="1" x14ac:dyDescent="0.45">
      <c r="A15" s="160" t="s">
        <v>98</v>
      </c>
      <c r="B15" s="162">
        <v>10000</v>
      </c>
      <c r="C15" s="164">
        <v>1</v>
      </c>
      <c r="D15" s="7">
        <f t="shared" ref="D15:D33" si="1">+$B15*C15</f>
        <v>10000</v>
      </c>
      <c r="E15" s="41"/>
      <c r="F15" s="7">
        <f t="shared" ref="F15:F33" si="2">+$B15*E15</f>
        <v>0</v>
      </c>
      <c r="G15" s="41"/>
      <c r="H15" s="7">
        <f t="shared" ref="H15:H33" si="3">+$B15*G15</f>
        <v>0</v>
      </c>
      <c r="I15" s="41"/>
      <c r="J15" s="43">
        <f t="shared" ref="J15:J25" si="4">+$B15*I15</f>
        <v>0</v>
      </c>
    </row>
    <row r="16" spans="1:19" ht="16.5" customHeight="1" thickBot="1" x14ac:dyDescent="0.5">
      <c r="A16" s="160" t="s">
        <v>99</v>
      </c>
      <c r="B16" s="162">
        <v>2000</v>
      </c>
      <c r="C16" s="19"/>
      <c r="D16" s="7">
        <f t="shared" si="1"/>
        <v>0</v>
      </c>
      <c r="E16" s="165">
        <v>1</v>
      </c>
      <c r="F16" s="7">
        <f t="shared" si="2"/>
        <v>2000</v>
      </c>
      <c r="G16" s="41"/>
      <c r="H16" s="7">
        <f t="shared" si="3"/>
        <v>0</v>
      </c>
      <c r="I16" s="41"/>
      <c r="J16" s="43">
        <f t="shared" si="4"/>
        <v>0</v>
      </c>
      <c r="L16" s="85" t="s">
        <v>13</v>
      </c>
      <c r="M16" s="86"/>
      <c r="N16" s="86"/>
      <c r="O16" s="87"/>
      <c r="P16" s="38"/>
    </row>
    <row r="17" spans="1:17" ht="16.5" customHeight="1" x14ac:dyDescent="0.4">
      <c r="A17" s="160" t="s">
        <v>100</v>
      </c>
      <c r="B17" s="162">
        <v>3000</v>
      </c>
      <c r="C17" s="19"/>
      <c r="D17" s="7">
        <f t="shared" si="1"/>
        <v>0</v>
      </c>
      <c r="E17" s="41"/>
      <c r="F17" s="7">
        <f t="shared" si="2"/>
        <v>0</v>
      </c>
      <c r="G17" s="165">
        <v>1</v>
      </c>
      <c r="H17" s="7">
        <f t="shared" si="3"/>
        <v>3000</v>
      </c>
      <c r="I17" s="41"/>
      <c r="J17" s="43">
        <f t="shared" si="4"/>
        <v>0</v>
      </c>
      <c r="L17" s="17" t="s">
        <v>41</v>
      </c>
      <c r="M17" s="13">
        <v>2000</v>
      </c>
      <c r="N17" s="18" t="s">
        <v>44</v>
      </c>
      <c r="O17" s="11">
        <f>+M19*1.2</f>
        <v>3456</v>
      </c>
    </row>
    <row r="18" spans="1:17" ht="16.5" customHeight="1" x14ac:dyDescent="0.4">
      <c r="A18" s="160" t="s">
        <v>101</v>
      </c>
      <c r="B18" s="162">
        <v>2500</v>
      </c>
      <c r="C18" s="164">
        <v>1</v>
      </c>
      <c r="D18" s="7">
        <f t="shared" si="1"/>
        <v>2500</v>
      </c>
      <c r="E18" s="41"/>
      <c r="F18" s="7">
        <f t="shared" si="2"/>
        <v>0</v>
      </c>
      <c r="G18" s="41"/>
      <c r="H18" s="7">
        <f t="shared" si="3"/>
        <v>0</v>
      </c>
      <c r="I18" s="41"/>
      <c r="J18" s="43">
        <f t="shared" si="4"/>
        <v>0</v>
      </c>
      <c r="L18" s="20" t="s">
        <v>42</v>
      </c>
      <c r="M18" s="9">
        <f>+M17*1.2</f>
        <v>2400</v>
      </c>
      <c r="N18" s="21" t="s">
        <v>45</v>
      </c>
      <c r="O18" s="9">
        <f>+O17*1.2</f>
        <v>4147.2</v>
      </c>
    </row>
    <row r="19" spans="1:17" ht="16.5" customHeight="1" thickBot="1" x14ac:dyDescent="0.45">
      <c r="A19" s="160" t="s">
        <v>93</v>
      </c>
      <c r="B19" s="162">
        <v>6000</v>
      </c>
      <c r="C19" s="165">
        <v>0.16666666666666699</v>
      </c>
      <c r="D19" s="7">
        <f t="shared" si="1"/>
        <v>1000.0000000000019</v>
      </c>
      <c r="E19" s="165">
        <v>0.5</v>
      </c>
      <c r="F19" s="7">
        <f t="shared" si="2"/>
        <v>3000</v>
      </c>
      <c r="G19" s="165">
        <f>+(1-E19-C19)*100%</f>
        <v>0.33333333333333304</v>
      </c>
      <c r="H19" s="7">
        <f t="shared" si="3"/>
        <v>1999.9999999999982</v>
      </c>
      <c r="I19" s="41"/>
      <c r="J19" s="43">
        <f>+B19*20%</f>
        <v>1200</v>
      </c>
      <c r="L19" s="22" t="s">
        <v>43</v>
      </c>
      <c r="M19" s="14">
        <f>+M18*1.2</f>
        <v>2880</v>
      </c>
      <c r="N19" s="23" t="s">
        <v>46</v>
      </c>
      <c r="O19" s="14">
        <f>+O18*1.2</f>
        <v>4976.6399999999994</v>
      </c>
    </row>
    <row r="20" spans="1:17" ht="16.5" customHeight="1" thickBot="1" x14ac:dyDescent="0.45">
      <c r="A20" s="160" t="s">
        <v>102</v>
      </c>
      <c r="B20" s="162">
        <v>1000</v>
      </c>
      <c r="C20" s="19"/>
      <c r="D20" s="7">
        <f t="shared" si="1"/>
        <v>0</v>
      </c>
      <c r="E20" s="165">
        <v>1</v>
      </c>
      <c r="F20" s="7">
        <f t="shared" si="2"/>
        <v>1000</v>
      </c>
      <c r="G20" s="41"/>
      <c r="H20" s="7">
        <f t="shared" si="3"/>
        <v>0</v>
      </c>
      <c r="I20" s="41"/>
      <c r="J20" s="43">
        <f t="shared" si="4"/>
        <v>0</v>
      </c>
      <c r="N20" s="10" t="s">
        <v>15</v>
      </c>
      <c r="O20" s="12">
        <f>SUM(M17:M19)+SUM(O17:O19)</f>
        <v>19859.84</v>
      </c>
    </row>
    <row r="21" spans="1:17" ht="16.5" customHeight="1" thickBot="1" x14ac:dyDescent="0.45">
      <c r="A21" s="160" t="s">
        <v>103</v>
      </c>
      <c r="B21" s="162">
        <v>10000</v>
      </c>
      <c r="C21" s="164">
        <v>0.2</v>
      </c>
      <c r="D21" s="7">
        <f t="shared" si="1"/>
        <v>2000</v>
      </c>
      <c r="E21" s="165">
        <v>0.3</v>
      </c>
      <c r="F21" s="7">
        <f t="shared" si="2"/>
        <v>3000</v>
      </c>
      <c r="G21" s="165">
        <v>0.2</v>
      </c>
      <c r="H21" s="7">
        <f t="shared" si="3"/>
        <v>2000</v>
      </c>
      <c r="I21" s="165">
        <v>0.3</v>
      </c>
      <c r="J21" s="43">
        <f t="shared" si="4"/>
        <v>3000</v>
      </c>
    </row>
    <row r="22" spans="1:17" ht="16.5" customHeight="1" thickBot="1" x14ac:dyDescent="0.45">
      <c r="A22" s="160" t="s">
        <v>76</v>
      </c>
      <c r="B22" s="162">
        <v>40000</v>
      </c>
      <c r="C22" s="164">
        <v>0.4</v>
      </c>
      <c r="D22" s="7">
        <f t="shared" si="1"/>
        <v>16000</v>
      </c>
      <c r="E22" s="165">
        <v>0.2</v>
      </c>
      <c r="F22" s="7">
        <f t="shared" si="2"/>
        <v>8000</v>
      </c>
      <c r="G22" s="165">
        <v>0.2</v>
      </c>
      <c r="H22" s="7">
        <f t="shared" si="3"/>
        <v>8000</v>
      </c>
      <c r="I22" s="165">
        <v>0.2</v>
      </c>
      <c r="J22" s="43">
        <f t="shared" si="4"/>
        <v>8000</v>
      </c>
      <c r="L22" s="97" t="s">
        <v>51</v>
      </c>
      <c r="M22" s="98"/>
      <c r="N22" s="99"/>
    </row>
    <row r="23" spans="1:17" ht="16.5" customHeight="1" thickBot="1" x14ac:dyDescent="0.45">
      <c r="A23" s="160" t="s">
        <v>77</v>
      </c>
      <c r="B23" s="162">
        <f>+D23+F23+H23+J23</f>
        <v>19000</v>
      </c>
      <c r="C23" s="164"/>
      <c r="D23" s="7">
        <v>5000</v>
      </c>
      <c r="E23" s="165"/>
      <c r="F23" s="7">
        <v>1000</v>
      </c>
      <c r="G23" s="165"/>
      <c r="H23" s="7">
        <v>10000</v>
      </c>
      <c r="I23" s="165"/>
      <c r="J23" s="43">
        <v>3000</v>
      </c>
      <c r="L23" s="100" t="s">
        <v>16</v>
      </c>
      <c r="M23" s="101"/>
      <c r="N23" s="56" t="s">
        <v>17</v>
      </c>
    </row>
    <row r="24" spans="1:17" ht="16.5" customHeight="1" x14ac:dyDescent="0.4">
      <c r="A24" s="160" t="s">
        <v>80</v>
      </c>
      <c r="B24" s="162">
        <v>15000</v>
      </c>
      <c r="C24" s="164">
        <v>1</v>
      </c>
      <c r="D24" s="7">
        <f t="shared" si="1"/>
        <v>15000</v>
      </c>
      <c r="E24" s="41"/>
      <c r="F24" s="7">
        <f t="shared" si="2"/>
        <v>0</v>
      </c>
      <c r="G24" s="41"/>
      <c r="H24" s="7">
        <f t="shared" si="3"/>
        <v>0</v>
      </c>
      <c r="I24" s="41"/>
      <c r="J24" s="43">
        <f t="shared" si="4"/>
        <v>0</v>
      </c>
      <c r="L24" s="116" t="s">
        <v>18</v>
      </c>
      <c r="M24" s="117"/>
      <c r="N24" s="188">
        <f>B5</f>
        <v>5000</v>
      </c>
      <c r="Q24" t="s">
        <v>81</v>
      </c>
    </row>
    <row r="25" spans="1:17" ht="16.5" customHeight="1" x14ac:dyDescent="0.4">
      <c r="A25" s="172" t="s">
        <v>104</v>
      </c>
      <c r="B25" s="166">
        <v>2000</v>
      </c>
      <c r="C25" s="174">
        <v>0.5</v>
      </c>
      <c r="D25" s="167">
        <f t="shared" si="1"/>
        <v>1000</v>
      </c>
      <c r="E25" s="175">
        <v>0.2</v>
      </c>
      <c r="F25" s="167">
        <f t="shared" si="2"/>
        <v>400</v>
      </c>
      <c r="G25" s="175">
        <v>0.3</v>
      </c>
      <c r="H25" s="167">
        <f t="shared" si="3"/>
        <v>600</v>
      </c>
      <c r="I25" s="168"/>
      <c r="J25" s="169">
        <f t="shared" si="4"/>
        <v>0</v>
      </c>
      <c r="L25" s="118" t="s">
        <v>19</v>
      </c>
      <c r="M25" s="119"/>
      <c r="N25" s="57">
        <f>O20</f>
        <v>19859.84</v>
      </c>
    </row>
    <row r="26" spans="1:17" ht="16.5" customHeight="1" thickBot="1" x14ac:dyDescent="0.45">
      <c r="A26" s="172" t="s">
        <v>95</v>
      </c>
      <c r="B26" s="166">
        <f>10000*12</f>
        <v>120000</v>
      </c>
      <c r="C26" s="174">
        <v>0.7</v>
      </c>
      <c r="D26" s="167">
        <f t="shared" si="1"/>
        <v>84000</v>
      </c>
      <c r="E26" s="175">
        <v>0.2</v>
      </c>
      <c r="F26" s="167">
        <f t="shared" si="2"/>
        <v>24000</v>
      </c>
      <c r="G26" s="175">
        <v>0.1</v>
      </c>
      <c r="H26" s="167">
        <f t="shared" si="3"/>
        <v>12000</v>
      </c>
      <c r="I26" s="168"/>
      <c r="J26" s="169">
        <f>+B26*20%</f>
        <v>24000</v>
      </c>
      <c r="L26" s="120" t="s">
        <v>20</v>
      </c>
      <c r="M26" s="121"/>
      <c r="N26" s="189">
        <f>+C5</f>
        <v>4000</v>
      </c>
    </row>
    <row r="27" spans="1:17" ht="16.5" customHeight="1" thickBot="1" x14ac:dyDescent="0.45">
      <c r="A27" s="172" t="s">
        <v>78</v>
      </c>
      <c r="B27" s="166">
        <f>3000*12</f>
        <v>36000</v>
      </c>
      <c r="C27" s="174">
        <v>0.1</v>
      </c>
      <c r="D27" s="167">
        <f t="shared" si="1"/>
        <v>3600</v>
      </c>
      <c r="E27" s="175">
        <v>0.45</v>
      </c>
      <c r="F27" s="167">
        <f t="shared" si="2"/>
        <v>16200</v>
      </c>
      <c r="G27" s="175">
        <v>0.45</v>
      </c>
      <c r="H27" s="167">
        <f t="shared" si="3"/>
        <v>16200</v>
      </c>
      <c r="I27" s="168"/>
      <c r="J27" s="169">
        <f>+B27*20%</f>
        <v>7200</v>
      </c>
      <c r="L27" s="122" t="s">
        <v>21</v>
      </c>
      <c r="M27" s="123"/>
      <c r="N27" s="58">
        <f>N24+N25-N26</f>
        <v>20859.84</v>
      </c>
    </row>
    <row r="28" spans="1:17" ht="16.5" customHeight="1" x14ac:dyDescent="0.4">
      <c r="A28" s="172" t="s">
        <v>79</v>
      </c>
      <c r="B28" s="166">
        <f>20000*2</f>
        <v>40000</v>
      </c>
      <c r="C28" s="174">
        <v>0.3</v>
      </c>
      <c r="D28" s="167">
        <f t="shared" si="1"/>
        <v>12000</v>
      </c>
      <c r="E28" s="175">
        <v>0.2</v>
      </c>
      <c r="F28" s="167">
        <f t="shared" si="2"/>
        <v>8000</v>
      </c>
      <c r="G28" s="175">
        <v>0.5</v>
      </c>
      <c r="H28" s="167">
        <f t="shared" si="3"/>
        <v>20000</v>
      </c>
      <c r="I28" s="168"/>
      <c r="J28" s="169">
        <f>+B28*20%</f>
        <v>8000</v>
      </c>
      <c r="L28" s="102" t="s">
        <v>22</v>
      </c>
      <c r="M28" s="103"/>
      <c r="N28" s="59">
        <f>SUM(R3:R6)</f>
        <v>265375</v>
      </c>
      <c r="O28" s="64" t="s">
        <v>67</v>
      </c>
    </row>
    <row r="29" spans="1:17" ht="16.5" customHeight="1" thickBot="1" x14ac:dyDescent="0.45">
      <c r="A29" s="173" t="s">
        <v>108</v>
      </c>
      <c r="B29" s="170">
        <f>+B46</f>
        <v>400</v>
      </c>
      <c r="C29" s="174"/>
      <c r="D29" s="167">
        <f t="shared" si="1"/>
        <v>0</v>
      </c>
      <c r="E29" s="175">
        <v>1</v>
      </c>
      <c r="F29" s="167">
        <f t="shared" si="2"/>
        <v>400</v>
      </c>
      <c r="G29" s="175"/>
      <c r="H29" s="167">
        <f t="shared" si="3"/>
        <v>0</v>
      </c>
      <c r="I29" s="168"/>
      <c r="J29" s="169">
        <f>+B29*20%</f>
        <v>80</v>
      </c>
      <c r="L29" s="104" t="s">
        <v>23</v>
      </c>
      <c r="M29" s="105"/>
      <c r="N29" s="60">
        <f>+C34</f>
        <v>164600</v>
      </c>
    </row>
    <row r="30" spans="1:17" ht="18.45" customHeight="1" thickBot="1" x14ac:dyDescent="0.45">
      <c r="A30" s="173" t="s">
        <v>109</v>
      </c>
      <c r="B30" s="170">
        <f t="shared" ref="B30:B31" si="5">+B47</f>
        <v>200</v>
      </c>
      <c r="C30" s="187"/>
      <c r="D30" s="167">
        <f t="shared" si="1"/>
        <v>0</v>
      </c>
      <c r="E30" s="175">
        <v>1</v>
      </c>
      <c r="F30" s="167">
        <f t="shared" si="2"/>
        <v>200</v>
      </c>
      <c r="G30" s="175"/>
      <c r="H30" s="167">
        <f t="shared" si="3"/>
        <v>0</v>
      </c>
      <c r="I30" s="168"/>
      <c r="J30" s="169">
        <f t="shared" ref="J30:J33" si="6">+B30*20%</f>
        <v>40</v>
      </c>
      <c r="L30" s="133" t="s">
        <v>24</v>
      </c>
      <c r="M30" s="134"/>
      <c r="N30" s="61">
        <f>N27+N28+N29</f>
        <v>450834.84</v>
      </c>
    </row>
    <row r="31" spans="1:17" ht="16.5" customHeight="1" x14ac:dyDescent="0.4">
      <c r="A31" s="173" t="s">
        <v>110</v>
      </c>
      <c r="B31" s="170">
        <f t="shared" si="5"/>
        <v>1200</v>
      </c>
      <c r="C31" s="187"/>
      <c r="D31" s="167">
        <f t="shared" si="1"/>
        <v>0</v>
      </c>
      <c r="E31" s="175"/>
      <c r="F31" s="167">
        <f t="shared" si="2"/>
        <v>0</v>
      </c>
      <c r="G31" s="175">
        <v>1</v>
      </c>
      <c r="H31" s="167">
        <f t="shared" si="3"/>
        <v>1200</v>
      </c>
      <c r="I31" s="168"/>
      <c r="J31" s="169">
        <f t="shared" si="6"/>
        <v>240</v>
      </c>
      <c r="L31" s="106" t="s">
        <v>25</v>
      </c>
      <c r="M31" s="107"/>
      <c r="N31" s="190">
        <f>+B6</f>
        <v>2000</v>
      </c>
    </row>
    <row r="32" spans="1:17" ht="16.5" customHeight="1" thickBot="1" x14ac:dyDescent="0.45">
      <c r="A32" s="173" t="s">
        <v>111</v>
      </c>
      <c r="B32" s="170">
        <v>5000</v>
      </c>
      <c r="C32" s="187">
        <v>1</v>
      </c>
      <c r="D32" s="167">
        <f t="shared" si="1"/>
        <v>5000</v>
      </c>
      <c r="E32" s="175"/>
      <c r="F32" s="167">
        <f t="shared" si="2"/>
        <v>0</v>
      </c>
      <c r="G32" s="175"/>
      <c r="H32" s="167">
        <f t="shared" si="3"/>
        <v>0</v>
      </c>
      <c r="I32" s="168"/>
      <c r="J32" s="169">
        <f t="shared" si="6"/>
        <v>1000</v>
      </c>
      <c r="L32" s="106" t="s">
        <v>26</v>
      </c>
      <c r="M32" s="107"/>
      <c r="N32" s="191">
        <f>+C6</f>
        <v>2000</v>
      </c>
    </row>
    <row r="33" spans="1:18" ht="17.149999999999999" customHeight="1" thickBot="1" x14ac:dyDescent="0.45">
      <c r="A33" s="173"/>
      <c r="B33" s="170"/>
      <c r="C33" s="171"/>
      <c r="D33" s="167">
        <f t="shared" si="1"/>
        <v>0</v>
      </c>
      <c r="E33" s="175"/>
      <c r="F33" s="167">
        <f t="shared" si="2"/>
        <v>0</v>
      </c>
      <c r="G33" s="175"/>
      <c r="H33" s="167">
        <f t="shared" si="3"/>
        <v>0</v>
      </c>
      <c r="I33" s="168"/>
      <c r="J33" s="169">
        <f t="shared" si="6"/>
        <v>0</v>
      </c>
      <c r="L33" s="108" t="s">
        <v>68</v>
      </c>
      <c r="M33" s="109"/>
      <c r="N33" s="62">
        <f>N30+N31-N32</f>
        <v>450834.84</v>
      </c>
      <c r="O33" s="64"/>
    </row>
    <row r="34" spans="1:18" ht="16.5" customHeight="1" thickBot="1" x14ac:dyDescent="0.45">
      <c r="A34" s="48" t="s">
        <v>39</v>
      </c>
      <c r="B34" s="48"/>
      <c r="C34" s="141">
        <f>SUM(D13:D33)</f>
        <v>164600</v>
      </c>
      <c r="D34" s="142"/>
      <c r="E34" s="141">
        <f>SUM(F13:F33)</f>
        <v>68100</v>
      </c>
      <c r="F34" s="142"/>
      <c r="G34" s="141">
        <f>SUM(H13:H33)</f>
        <v>75600</v>
      </c>
      <c r="H34" s="142"/>
      <c r="I34" s="49"/>
      <c r="J34" s="49">
        <f>SUM(J13:J33)</f>
        <v>55760</v>
      </c>
      <c r="L34" s="110" t="s">
        <v>27</v>
      </c>
      <c r="M34" s="111"/>
      <c r="N34" s="192">
        <f>+B7</f>
        <v>3000</v>
      </c>
    </row>
    <row r="35" spans="1:18" ht="16.5" customHeight="1" x14ac:dyDescent="0.4">
      <c r="A35" s="112" t="s">
        <v>72</v>
      </c>
      <c r="B35" s="113"/>
      <c r="L35" s="110" t="s">
        <v>28</v>
      </c>
      <c r="M35" s="111"/>
      <c r="N35" s="193">
        <f>+C7</f>
        <v>5000</v>
      </c>
    </row>
    <row r="36" spans="1:18" ht="16.5" customHeight="1" thickBot="1" x14ac:dyDescent="0.45">
      <c r="A36" s="176" t="s">
        <v>71</v>
      </c>
      <c r="B36" s="177">
        <f>SUM(R7:R12)</f>
        <v>130195</v>
      </c>
      <c r="L36" s="110"/>
      <c r="M36" s="111"/>
      <c r="N36" s="63"/>
    </row>
    <row r="37" spans="1:18" ht="16.5" customHeight="1" thickBot="1" x14ac:dyDescent="0.45">
      <c r="A37" s="68" t="s">
        <v>73</v>
      </c>
      <c r="B37" s="69">
        <f>+B34+B36</f>
        <v>130195</v>
      </c>
      <c r="L37" s="110"/>
      <c r="M37" s="111"/>
      <c r="N37" s="63"/>
    </row>
    <row r="38" spans="1:18" ht="26.15" customHeight="1" thickBot="1" x14ac:dyDescent="0.45">
      <c r="L38" s="129" t="s">
        <v>29</v>
      </c>
      <c r="M38" s="130"/>
      <c r="N38" s="55">
        <f>+N33+N34-N35</f>
        <v>448834.84</v>
      </c>
    </row>
    <row r="39" spans="1:18" ht="18.899999999999999" customHeight="1" thickBot="1" x14ac:dyDescent="0.45"/>
    <row r="40" spans="1:18" ht="18.899999999999999" customHeight="1" thickBot="1" x14ac:dyDescent="0.5">
      <c r="L40" s="85" t="s">
        <v>52</v>
      </c>
      <c r="M40" s="86"/>
      <c r="N40" s="87"/>
      <c r="P40" s="71" t="s">
        <v>82</v>
      </c>
      <c r="Q40" s="72">
        <v>11717</v>
      </c>
      <c r="R40" s="73"/>
    </row>
    <row r="41" spans="1:18" ht="18.899999999999999" customHeight="1" thickBot="1" x14ac:dyDescent="0.45">
      <c r="L41" s="131" t="s">
        <v>16</v>
      </c>
      <c r="M41" s="132"/>
      <c r="N41" s="25" t="s">
        <v>17</v>
      </c>
      <c r="P41" s="74" t="s">
        <v>83</v>
      </c>
      <c r="Q41" s="75">
        <f>N38/Q40</f>
        <v>38.306293419817365</v>
      </c>
      <c r="R41" s="76"/>
    </row>
    <row r="42" spans="1:18" ht="18.899999999999999" customHeight="1" thickBot="1" x14ac:dyDescent="0.45">
      <c r="A42" s="100" t="s">
        <v>47</v>
      </c>
      <c r="B42" s="143"/>
      <c r="C42" s="144" t="s">
        <v>48</v>
      </c>
      <c r="D42" s="145"/>
      <c r="L42" s="135" t="s">
        <v>14</v>
      </c>
      <c r="M42" s="136"/>
      <c r="N42" s="5">
        <f>+Q40*Q41*(1.6)</f>
        <v>718135.74400000018</v>
      </c>
    </row>
    <row r="43" spans="1:18" ht="18.899999999999999" customHeight="1" thickBot="1" x14ac:dyDescent="0.45">
      <c r="A43" s="205" t="s">
        <v>90</v>
      </c>
      <c r="B43" s="195">
        <v>10000</v>
      </c>
      <c r="C43" s="206">
        <f>B43*10</f>
        <v>100000</v>
      </c>
      <c r="D43" s="207"/>
      <c r="E43" s="208" t="s">
        <v>115</v>
      </c>
      <c r="L43" s="127" t="s">
        <v>33</v>
      </c>
      <c r="M43" s="128"/>
      <c r="N43" s="65">
        <f>N38</f>
        <v>448834.84</v>
      </c>
    </row>
    <row r="44" spans="1:18" ht="18.899999999999999" customHeight="1" thickBot="1" x14ac:dyDescent="0.45">
      <c r="A44" s="194" t="s">
        <v>91</v>
      </c>
      <c r="B44" s="195">
        <v>2000</v>
      </c>
      <c r="C44" s="196">
        <f>B44*10</f>
        <v>20000</v>
      </c>
      <c r="D44" s="197"/>
      <c r="E44" s="209"/>
      <c r="L44" s="95" t="s">
        <v>34</v>
      </c>
      <c r="M44" s="96"/>
      <c r="N44" s="67">
        <f>N42-N43</f>
        <v>269300.90400000016</v>
      </c>
    </row>
    <row r="45" spans="1:18" ht="16.5" customHeight="1" thickBot="1" x14ac:dyDescent="0.45">
      <c r="A45" s="194" t="s">
        <v>92</v>
      </c>
      <c r="B45" s="195">
        <v>3000</v>
      </c>
      <c r="C45" s="196">
        <f>B45*10</f>
        <v>30000</v>
      </c>
      <c r="D45" s="197"/>
      <c r="E45" s="210"/>
      <c r="L45" s="137" t="s">
        <v>70</v>
      </c>
      <c r="M45" s="138"/>
      <c r="N45" s="66">
        <f>+E34</f>
        <v>68100</v>
      </c>
    </row>
    <row r="46" spans="1:18" ht="16.5" customHeight="1" x14ac:dyDescent="0.4">
      <c r="A46" s="198" t="s">
        <v>105</v>
      </c>
      <c r="B46" s="199">
        <f>+C46/10</f>
        <v>400</v>
      </c>
      <c r="C46" s="200">
        <f>10*400</f>
        <v>4000</v>
      </c>
      <c r="D46" s="201"/>
      <c r="L46" s="88" t="s">
        <v>69</v>
      </c>
      <c r="M46" s="89"/>
      <c r="N46" s="4">
        <f>+G34</f>
        <v>75600</v>
      </c>
    </row>
    <row r="47" spans="1:18" ht="16.5" customHeight="1" x14ac:dyDescent="0.4">
      <c r="A47" s="198" t="s">
        <v>106</v>
      </c>
      <c r="B47" s="199">
        <f>+C47/10</f>
        <v>200</v>
      </c>
      <c r="C47" s="200">
        <v>2000</v>
      </c>
      <c r="D47" s="201"/>
      <c r="L47" s="88" t="s">
        <v>35</v>
      </c>
      <c r="M47" s="89"/>
      <c r="N47" s="4">
        <f>+J34</f>
        <v>55760</v>
      </c>
    </row>
    <row r="48" spans="1:18" ht="16.5" customHeight="1" thickBot="1" x14ac:dyDescent="0.45">
      <c r="A48" s="202" t="s">
        <v>107</v>
      </c>
      <c r="B48" s="199">
        <f>+C48/3</f>
        <v>1200</v>
      </c>
      <c r="C48" s="203">
        <f>3*1200</f>
        <v>3600</v>
      </c>
      <c r="D48" s="204"/>
      <c r="L48" s="88" t="s">
        <v>94</v>
      </c>
      <c r="M48" s="89"/>
      <c r="N48" s="4">
        <f>10000*12</f>
        <v>120000</v>
      </c>
    </row>
    <row r="49" spans="1:16" ht="16.5" customHeight="1" x14ac:dyDescent="0.4">
      <c r="L49" s="88" t="s">
        <v>36</v>
      </c>
      <c r="M49" s="89"/>
      <c r="N49" s="4">
        <v>4000</v>
      </c>
    </row>
    <row r="50" spans="1:16" ht="16.5" customHeight="1" x14ac:dyDescent="0.4">
      <c r="A50" s="146" t="s">
        <v>49</v>
      </c>
      <c r="B50" s="146"/>
      <c r="L50" s="88" t="s">
        <v>37</v>
      </c>
      <c r="M50" s="89"/>
      <c r="N50" s="4"/>
    </row>
    <row r="51" spans="1:16" ht="16.5" customHeight="1" thickBot="1" x14ac:dyDescent="0.45">
      <c r="A51" s="147"/>
      <c r="B51" s="147"/>
      <c r="L51" s="93" t="s">
        <v>38</v>
      </c>
      <c r="M51" s="94"/>
      <c r="N51" s="6">
        <f>N44-N45-N46-N47+N48+N49</f>
        <v>193840.90400000016</v>
      </c>
    </row>
    <row r="52" spans="1:16" ht="16.5" customHeight="1" thickBot="1" x14ac:dyDescent="0.45">
      <c r="A52" s="36" t="str">
        <f>+A13</f>
        <v>Combustible</v>
      </c>
      <c r="B52" s="3"/>
    </row>
    <row r="53" spans="1:16" ht="16.5" customHeight="1" thickBot="1" x14ac:dyDescent="0.45">
      <c r="A53" s="36" t="str">
        <f t="shared" ref="A53:B53" si="7">+A14</f>
        <v>seguro</v>
      </c>
      <c r="B53" s="3">
        <f t="shared" si="7"/>
        <v>3000</v>
      </c>
      <c r="C53" t="s">
        <v>112</v>
      </c>
      <c r="L53" s="90" t="s">
        <v>40</v>
      </c>
      <c r="M53" s="91"/>
      <c r="N53" s="92"/>
    </row>
    <row r="54" spans="1:16" ht="16.5" customHeight="1" x14ac:dyDescent="0.4">
      <c r="A54" s="36" t="str">
        <f t="shared" ref="A54" si="8">+A15</f>
        <v>amort. Maquinarias</v>
      </c>
      <c r="B54" s="3"/>
      <c r="L54" s="77" t="s">
        <v>118</v>
      </c>
      <c r="M54" s="78">
        <f>+B76</f>
        <v>421195</v>
      </c>
      <c r="N54" s="79"/>
      <c r="O54" t="s">
        <v>74</v>
      </c>
      <c r="P54" s="70" t="s">
        <v>84</v>
      </c>
    </row>
    <row r="55" spans="1:16" ht="16.5" customHeight="1" x14ac:dyDescent="0.4">
      <c r="A55" s="36" t="str">
        <f t="shared" ref="A55" si="9">+A16</f>
        <v>amort. Escr. Admin.</v>
      </c>
      <c r="B55" s="3"/>
      <c r="L55" s="80" t="s">
        <v>116</v>
      </c>
      <c r="M55" s="81">
        <f>+Q41</f>
        <v>38.306293419817365</v>
      </c>
      <c r="N55" s="82"/>
    </row>
    <row r="56" spans="1:16" ht="16.5" customHeight="1" x14ac:dyDescent="0.4">
      <c r="A56" s="36" t="str">
        <f t="shared" ref="A56" si="10">+A17</f>
        <v>amort. Mostr. Ventas</v>
      </c>
      <c r="B56" s="3"/>
      <c r="L56" s="80" t="s">
        <v>85</v>
      </c>
      <c r="M56" s="81">
        <f>+Q41*1.6</f>
        <v>61.290069471707788</v>
      </c>
      <c r="N56" s="82"/>
      <c r="O56" t="s">
        <v>117</v>
      </c>
    </row>
    <row r="57" spans="1:16" ht="16.5" customHeight="1" thickBot="1" x14ac:dyDescent="0.45">
      <c r="A57" s="36" t="str">
        <f t="shared" ref="A57" si="11">+A18</f>
        <v>bolsas</v>
      </c>
      <c r="B57" s="3"/>
      <c r="L57" s="83" t="s">
        <v>86</v>
      </c>
      <c r="M57" s="211">
        <f>IF((M56-M55)=0,"no se puede calcular",ROUND((M54)/(M56-M55),0))</f>
        <v>18326</v>
      </c>
      <c r="N57" s="84"/>
    </row>
    <row r="58" spans="1:16" ht="16.5" customHeight="1" x14ac:dyDescent="0.4">
      <c r="A58" s="36" t="str">
        <f t="shared" ref="A58:B58" si="12">+A19</f>
        <v>Telefonitos</v>
      </c>
      <c r="B58" s="3">
        <f t="shared" si="12"/>
        <v>6000</v>
      </c>
      <c r="C58" t="s">
        <v>112</v>
      </c>
      <c r="L58" s="26"/>
      <c r="M58" s="24"/>
      <c r="N58" s="27"/>
    </row>
    <row r="59" spans="1:16" ht="16.5" customHeight="1" thickBot="1" x14ac:dyDescent="0.45">
      <c r="A59" s="36" t="str">
        <f t="shared" ref="A59" si="13">+A20</f>
        <v>alq. Equipos comp. Adm</v>
      </c>
      <c r="B59" s="3"/>
      <c r="L59" s="28"/>
      <c r="M59" s="29"/>
      <c r="N59" s="30"/>
    </row>
    <row r="60" spans="1:16" ht="16.5" customHeight="1" x14ac:dyDescent="0.4">
      <c r="A60" s="36" t="str">
        <f t="shared" ref="A60:B60" si="14">+A21</f>
        <v>Lic. SW</v>
      </c>
      <c r="B60" s="3">
        <f t="shared" si="14"/>
        <v>10000</v>
      </c>
    </row>
    <row r="61" spans="1:16" ht="16.5" customHeight="1" x14ac:dyDescent="0.4">
      <c r="A61" s="36" t="str">
        <f t="shared" ref="A61:B61" si="15">+A22</f>
        <v>Limpieza</v>
      </c>
      <c r="B61" s="3">
        <f t="shared" si="15"/>
        <v>40000</v>
      </c>
      <c r="L61" t="s">
        <v>75</v>
      </c>
    </row>
    <row r="62" spans="1:16" ht="16.5" customHeight="1" x14ac:dyDescent="0.4">
      <c r="A62" s="36" t="str">
        <f t="shared" ref="A62:B62" si="16">+A23</f>
        <v>Logística</v>
      </c>
      <c r="B62" s="3">
        <f t="shared" si="16"/>
        <v>19000</v>
      </c>
    </row>
    <row r="63" spans="1:16" ht="16.5" customHeight="1" x14ac:dyDescent="0.4">
      <c r="A63" s="36" t="str">
        <f t="shared" ref="A63:B63" si="17">+A24</f>
        <v>Seguridad</v>
      </c>
      <c r="B63" s="3">
        <f t="shared" si="17"/>
        <v>15000</v>
      </c>
    </row>
    <row r="64" spans="1:16" ht="16.5" customHeight="1" x14ac:dyDescent="0.4">
      <c r="A64" s="36" t="str">
        <f t="shared" ref="A64:B64" si="18">+A25</f>
        <v>Dispenser agua</v>
      </c>
      <c r="B64" s="3">
        <f t="shared" si="18"/>
        <v>2000</v>
      </c>
    </row>
    <row r="65" spans="1:3" ht="16.5" customHeight="1" x14ac:dyDescent="0.4">
      <c r="A65" s="36" t="str">
        <f t="shared" ref="A65:B65" si="19">+A26</f>
        <v>Agua corriente</v>
      </c>
      <c r="B65" s="3">
        <f t="shared" si="19"/>
        <v>120000</v>
      </c>
      <c r="C65" t="s">
        <v>112</v>
      </c>
    </row>
    <row r="66" spans="1:3" ht="16.5" customHeight="1" x14ac:dyDescent="0.4">
      <c r="A66" s="36" t="str">
        <f t="shared" ref="A66:B66" si="20">+A27</f>
        <v>Impuestos</v>
      </c>
      <c r="B66" s="3">
        <f t="shared" si="20"/>
        <v>36000</v>
      </c>
      <c r="C66" t="s">
        <v>112</v>
      </c>
    </row>
    <row r="67" spans="1:3" ht="16.5" customHeight="1" x14ac:dyDescent="0.4">
      <c r="A67" s="36" t="str">
        <f t="shared" ref="A67:B67" si="21">+A28</f>
        <v>Electricidad</v>
      </c>
      <c r="B67" s="3">
        <f t="shared" si="21"/>
        <v>40000</v>
      </c>
      <c r="C67" t="s">
        <v>112</v>
      </c>
    </row>
    <row r="68" spans="1:3" ht="16.5" customHeight="1" x14ac:dyDescent="0.4">
      <c r="A68" s="36" t="str">
        <f t="shared" ref="A68" si="22">+A29</f>
        <v>amort. Sillas adm</v>
      </c>
      <c r="B68" s="3"/>
    </row>
    <row r="69" spans="1:3" ht="16.5" customHeight="1" x14ac:dyDescent="0.4">
      <c r="A69" s="36" t="str">
        <f t="shared" ref="A69" si="23">+A30</f>
        <v>amort. Mob. Adm</v>
      </c>
      <c r="B69" s="3"/>
    </row>
    <row r="70" spans="1:3" ht="16.5" customHeight="1" x14ac:dyDescent="0.4">
      <c r="A70" s="36" t="str">
        <f t="shared" ref="A70" si="24">+A31</f>
        <v>amort comp. Ventas</v>
      </c>
      <c r="B70" s="3"/>
    </row>
    <row r="71" spans="1:3" ht="16.5" customHeight="1" x14ac:dyDescent="0.4">
      <c r="A71" s="36" t="str">
        <f t="shared" ref="A71" si="25">+A32</f>
        <v>mantenimiento maq.</v>
      </c>
      <c r="B71" s="3"/>
    </row>
    <row r="72" spans="1:3" ht="16.5" customHeight="1" x14ac:dyDescent="0.4">
      <c r="A72" s="36"/>
      <c r="B72" s="3"/>
    </row>
    <row r="73" spans="1:3" ht="16.5" customHeight="1" x14ac:dyDescent="0.4">
      <c r="A73" s="36" t="s">
        <v>113</v>
      </c>
      <c r="B73" s="3">
        <f>+B36</f>
        <v>130195</v>
      </c>
    </row>
    <row r="74" spans="1:3" ht="16.5" customHeight="1" x14ac:dyDescent="0.4">
      <c r="A74" s="36" t="s">
        <v>114</v>
      </c>
      <c r="B74" s="3"/>
    </row>
    <row r="75" spans="1:3" ht="16.5" customHeight="1" x14ac:dyDescent="0.4">
      <c r="A75" s="36"/>
      <c r="B75" s="3"/>
    </row>
    <row r="76" spans="1:3" ht="16.5" customHeight="1" x14ac:dyDescent="0.4">
      <c r="A76" s="37" t="s">
        <v>15</v>
      </c>
      <c r="B76" s="8">
        <f>SUM(B52:B75)</f>
        <v>421195</v>
      </c>
    </row>
  </sheetData>
  <mergeCells count="57">
    <mergeCell ref="A50:B51"/>
    <mergeCell ref="C45:D45"/>
    <mergeCell ref="C46:D46"/>
    <mergeCell ref="C47:D47"/>
    <mergeCell ref="C48:D48"/>
    <mergeCell ref="G34:H34"/>
    <mergeCell ref="A42:B42"/>
    <mergeCell ref="C42:D42"/>
    <mergeCell ref="C43:D43"/>
    <mergeCell ref="C44:D44"/>
    <mergeCell ref="C34:D34"/>
    <mergeCell ref="E34:F34"/>
    <mergeCell ref="E43:E45"/>
    <mergeCell ref="A11:B11"/>
    <mergeCell ref="C4:D4"/>
    <mergeCell ref="C5:D5"/>
    <mergeCell ref="C6:D6"/>
    <mergeCell ref="C7:D7"/>
    <mergeCell ref="L1:R1"/>
    <mergeCell ref="L49:M49"/>
    <mergeCell ref="L43:M43"/>
    <mergeCell ref="L16:O16"/>
    <mergeCell ref="A10:J10"/>
    <mergeCell ref="L38:M38"/>
    <mergeCell ref="L40:N40"/>
    <mergeCell ref="L41:M41"/>
    <mergeCell ref="L30:M30"/>
    <mergeCell ref="L31:M31"/>
    <mergeCell ref="L34:M34"/>
    <mergeCell ref="L42:M42"/>
    <mergeCell ref="L45:M45"/>
    <mergeCell ref="L46:M46"/>
    <mergeCell ref="L47:M47"/>
    <mergeCell ref="L48:M48"/>
    <mergeCell ref="L24:M24"/>
    <mergeCell ref="L25:M25"/>
    <mergeCell ref="L26:M26"/>
    <mergeCell ref="L27:M27"/>
    <mergeCell ref="C11:D11"/>
    <mergeCell ref="E11:F11"/>
    <mergeCell ref="G11:H11"/>
    <mergeCell ref="A3:D3"/>
    <mergeCell ref="L50:M50"/>
    <mergeCell ref="L53:N53"/>
    <mergeCell ref="L51:M51"/>
    <mergeCell ref="L44:M44"/>
    <mergeCell ref="L22:N22"/>
    <mergeCell ref="L23:M23"/>
    <mergeCell ref="L28:M28"/>
    <mergeCell ref="L29:M29"/>
    <mergeCell ref="L32:M32"/>
    <mergeCell ref="L33:M33"/>
    <mergeCell ref="L35:M35"/>
    <mergeCell ref="L36:M36"/>
    <mergeCell ref="L37:M37"/>
    <mergeCell ref="A35:B35"/>
    <mergeCell ref="I11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Sylvina Enriquez</cp:lastModifiedBy>
  <dcterms:created xsi:type="dcterms:W3CDTF">2019-09-28T01:47:49Z</dcterms:created>
  <dcterms:modified xsi:type="dcterms:W3CDTF">2025-07-28T16:27:05Z</dcterms:modified>
</cp:coreProperties>
</file>